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мяг пронск со строитель" sheetId="1" r:id="rId1"/>
  </sheets>
  <externalReferences>
    <externalReference r:id="rId2"/>
  </externalReferences>
  <calcPr calcId="125725" calcOnSave="0"/>
</workbook>
</file>

<file path=xl/calcChain.xml><?xml version="1.0" encoding="utf-8"?>
<calcChain xmlns="http://schemas.openxmlformats.org/spreadsheetml/2006/main">
  <c r="A5" i="1"/>
  <c r="A6"/>
  <c r="A8" s="1"/>
  <c r="A7"/>
  <c r="A9"/>
  <c r="B9"/>
  <c r="B11" s="1"/>
  <c r="A10"/>
  <c r="B10"/>
  <c r="A11"/>
  <c r="A12"/>
  <c r="B12"/>
  <c r="C12"/>
  <c r="C14" s="1"/>
  <c r="A13"/>
  <c r="B13"/>
  <c r="C13"/>
  <c r="A14"/>
  <c r="B14"/>
  <c r="A15"/>
  <c r="B15"/>
  <c r="C15"/>
  <c r="D15"/>
  <c r="A16"/>
  <c r="B16"/>
  <c r="C16"/>
  <c r="D16"/>
  <c r="A17"/>
  <c r="B17"/>
  <c r="C17"/>
  <c r="D17"/>
  <c r="A18"/>
  <c r="B18"/>
  <c r="B20" s="1"/>
  <c r="C18"/>
  <c r="C20" s="1"/>
  <c r="D18"/>
  <c r="E18"/>
  <c r="A19"/>
  <c r="B19"/>
  <c r="C19"/>
  <c r="D19"/>
  <c r="E19"/>
  <c r="A20"/>
  <c r="D20"/>
  <c r="E20"/>
  <c r="A21"/>
  <c r="B21"/>
  <c r="C21"/>
  <c r="D21"/>
  <c r="E21"/>
  <c r="F21"/>
  <c r="A22"/>
  <c r="B22"/>
  <c r="C22"/>
  <c r="D22"/>
  <c r="E22"/>
  <c r="F22"/>
  <c r="A23"/>
  <c r="B23"/>
  <c r="C23"/>
  <c r="D23"/>
  <c r="E23"/>
  <c r="F23"/>
  <c r="A24"/>
  <c r="A26" s="1"/>
  <c r="B24"/>
  <c r="B26" s="1"/>
  <c r="C24"/>
  <c r="D24"/>
  <c r="E24"/>
  <c r="E26" s="1"/>
  <c r="F24"/>
  <c r="F26" s="1"/>
  <c r="G24"/>
  <c r="A25"/>
  <c r="B25"/>
  <c r="C25"/>
  <c r="D25"/>
  <c r="E25"/>
  <c r="F25"/>
  <c r="G25"/>
  <c r="C26"/>
  <c r="D26"/>
  <c r="G26"/>
  <c r="A27"/>
  <c r="B27"/>
  <c r="C27"/>
  <c r="D27"/>
  <c r="E27"/>
  <c r="E29" s="1"/>
  <c r="F27"/>
  <c r="G27"/>
  <c r="H27"/>
  <c r="A28"/>
  <c r="B28"/>
  <c r="C28"/>
  <c r="D28"/>
  <c r="E28"/>
  <c r="F28"/>
  <c r="G28"/>
  <c r="H28"/>
  <c r="A29"/>
  <c r="B29"/>
  <c r="C29"/>
  <c r="D29"/>
  <c r="F29"/>
  <c r="G29"/>
  <c r="H29"/>
  <c r="A30"/>
  <c r="A32" s="1"/>
  <c r="B30"/>
  <c r="C30"/>
  <c r="D30"/>
  <c r="D32" s="1"/>
  <c r="E30"/>
  <c r="E32" s="1"/>
  <c r="F30"/>
  <c r="G30"/>
  <c r="H30"/>
  <c r="H32" s="1"/>
  <c r="I30"/>
  <c r="I32" s="1"/>
  <c r="A31"/>
  <c r="B31"/>
  <c r="C31"/>
  <c r="D31"/>
  <c r="E31"/>
  <c r="F31"/>
  <c r="G31"/>
  <c r="H31"/>
  <c r="I31"/>
  <c r="B32"/>
  <c r="C32"/>
  <c r="F32"/>
  <c r="G32"/>
  <c r="A33"/>
  <c r="B33"/>
  <c r="C33"/>
  <c r="D33"/>
  <c r="E33"/>
  <c r="F33"/>
  <c r="G33"/>
  <c r="H33"/>
  <c r="I33"/>
  <c r="J33"/>
  <c r="A34"/>
  <c r="B34"/>
  <c r="C34"/>
  <c r="D34"/>
  <c r="E34"/>
  <c r="F34"/>
  <c r="G34"/>
  <c r="H34"/>
  <c r="I34"/>
  <c r="J34"/>
  <c r="A35"/>
  <c r="B35"/>
  <c r="C35"/>
  <c r="D35"/>
  <c r="E35"/>
  <c r="F35"/>
  <c r="G35"/>
  <c r="H35"/>
  <c r="I35"/>
  <c r="J35"/>
</calcChain>
</file>

<file path=xl/sharedStrings.xml><?xml version="1.0" encoding="utf-8"?>
<sst xmlns="http://schemas.openxmlformats.org/spreadsheetml/2006/main" count="28" uniqueCount="25">
  <si>
    <t>В.П.Ледовской</t>
  </si>
  <si>
    <t>Генеральный директор</t>
  </si>
  <si>
    <t>Стоимость проезда 1 пассажирокилометра</t>
  </si>
  <si>
    <r>
      <t xml:space="preserve">                    </t>
    </r>
    <r>
      <rPr>
        <b/>
        <sz val="12"/>
        <color indexed="60"/>
        <rFont val="Times New Roman"/>
        <family val="1"/>
        <charset val="204"/>
      </rPr>
      <t xml:space="preserve"> 3 строка</t>
    </r>
    <r>
      <rPr>
        <sz val="12"/>
        <rFont val="Times New Roman"/>
        <family val="1"/>
        <charset val="204"/>
      </rPr>
      <t xml:space="preserve"> - стоимость провоза багажа</t>
    </r>
  </si>
  <si>
    <r>
      <t xml:space="preserve">                    </t>
    </r>
    <r>
      <rPr>
        <b/>
        <sz val="11"/>
        <rFont val="Times New Roman"/>
        <family val="1"/>
        <charset val="204"/>
      </rPr>
      <t xml:space="preserve"> </t>
    </r>
    <r>
      <rPr>
        <b/>
        <sz val="11"/>
        <color indexed="56"/>
        <rFont val="Times New Roman"/>
        <family val="1"/>
        <charset val="204"/>
      </rPr>
      <t>2 строка</t>
    </r>
    <r>
      <rPr>
        <sz val="11"/>
        <rFont val="Times New Roman"/>
        <family val="1"/>
        <charset val="204"/>
      </rPr>
      <t xml:space="preserve"> - стоимость детского билета</t>
    </r>
  </si>
  <si>
    <r>
      <t>Примечание:</t>
    </r>
    <r>
      <rPr>
        <b/>
        <sz val="11"/>
        <rFont val="Times New Roman"/>
        <family val="1"/>
        <charset val="204"/>
      </rPr>
      <t xml:space="preserve"> 1 строка</t>
    </r>
    <r>
      <rPr>
        <sz val="11"/>
        <rFont val="Times New Roman"/>
        <family val="1"/>
        <charset val="204"/>
      </rPr>
      <t xml:space="preserve"> - стоимость полного билета</t>
    </r>
  </si>
  <si>
    <t xml:space="preserve">                  4 руб. 24 коп.</t>
  </si>
  <si>
    <t>с мягкими откидными сиденьями</t>
  </si>
  <si>
    <t>В таблице указана стоимость билетов на проезд в автобусах</t>
  </si>
  <si>
    <t>Скопин АВ</t>
  </si>
  <si>
    <t>Мамоново</t>
  </si>
  <si>
    <t>пов.на Новомичуринск</t>
  </si>
  <si>
    <t>п.Пронск</t>
  </si>
  <si>
    <t>п.Елшино</t>
  </si>
  <si>
    <t>М.П.</t>
  </si>
  <si>
    <t>п.Альютово</t>
  </si>
  <si>
    <t>Поворот на с.Чулково</t>
  </si>
  <si>
    <t>"01" января  2025 г.</t>
  </si>
  <si>
    <t>Тырново</t>
  </si>
  <si>
    <t>Малинищи</t>
  </si>
  <si>
    <t>пос.Строитель</t>
  </si>
  <si>
    <t>"Утверждаю"</t>
  </si>
  <si>
    <t xml:space="preserve">                          по маршруту № 526 (через Пронск)</t>
  </si>
  <si>
    <t xml:space="preserve">              </t>
  </si>
  <si>
    <t>СТОИМОСТЬ ПРОЕЗДА И ПРОВОЗА БАГАЖА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</si>
</sst>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16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6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0"/>
      <name val="Arial Cyr"/>
      <charset val="204"/>
    </font>
    <font>
      <sz val="12"/>
      <color rgb="FF00206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5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2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2" fontId="7" fillId="0" borderId="0" xfId="0" applyNumberFormat="1" applyFont="1" applyBorder="1"/>
    <xf numFmtId="164" fontId="8" fillId="0" borderId="0" xfId="0" applyNumberFormat="1" applyFont="1" applyBorder="1"/>
    <xf numFmtId="1" fontId="9" fillId="2" borderId="2" xfId="0" applyNumberFormat="1" applyFont="1" applyFill="1" applyBorder="1"/>
    <xf numFmtId="1" fontId="10" fillId="2" borderId="3" xfId="0" applyNumberFormat="1" applyFont="1" applyFill="1" applyBorder="1"/>
    <xf numFmtId="1" fontId="11" fillId="2" borderId="3" xfId="0" applyNumberFormat="1" applyFont="1" applyFill="1" applyBorder="1"/>
    <xf numFmtId="1" fontId="12" fillId="0" borderId="2" xfId="0" applyNumberFormat="1" applyFont="1" applyBorder="1"/>
    <xf numFmtId="1" fontId="13" fillId="0" borderId="3" xfId="0" applyNumberFormat="1" applyFont="1" applyBorder="1"/>
    <xf numFmtId="1" fontId="2" fillId="0" borderId="3" xfId="0" applyNumberFormat="1" applyFont="1" applyBorder="1"/>
    <xf numFmtId="0" fontId="1" fillId="0" borderId="0" xfId="0" applyFont="1" applyAlignment="1">
      <alignment horizontal="right"/>
    </xf>
    <xf numFmtId="2" fontId="2" fillId="0" borderId="0" xfId="0" applyNumberFormat="1" applyFont="1"/>
    <xf numFmtId="2" fontId="1" fillId="0" borderId="0" xfId="0" applyNumberFormat="1" applyFont="1"/>
    <xf numFmtId="0" fontId="5" fillId="0" borderId="0" xfId="0" applyFont="1" applyAlignment="1">
      <alignment horizontal="center" vertical="top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 vertical="top"/>
    </xf>
    <xf numFmtId="0" fontId="1" fillId="0" borderId="0" xfId="1" applyFont="1" applyAlignment="1">
      <alignment horizontal="right"/>
    </xf>
    <xf numFmtId="0" fontId="1" fillId="0" borderId="0" xfId="1" applyFont="1" applyAlignment="1">
      <alignment horizontal="left" vertical="top"/>
    </xf>
    <xf numFmtId="2" fontId="12" fillId="0" borderId="0" xfId="0" applyNumberFormat="1" applyFont="1" applyBorder="1"/>
    <xf numFmtId="2" fontId="15" fillId="0" borderId="0" xfId="0" applyNumberFormat="1" applyFont="1" applyBorder="1"/>
    <xf numFmtId="0" fontId="1" fillId="0" borderId="0" xfId="1" applyFont="1"/>
    <xf numFmtId="0" fontId="1" fillId="0" borderId="0" xfId="0" applyFont="1" applyAlignment="1"/>
    <xf numFmtId="12" fontId="1" fillId="0" borderId="0" xfId="0" applyNumberFormat="1" applyFont="1"/>
    <xf numFmtId="1" fontId="13" fillId="3" borderId="4" xfId="0" applyNumberFormat="1" applyFont="1" applyFill="1" applyBorder="1"/>
    <xf numFmtId="1" fontId="10" fillId="2" borderId="5" xfId="0" applyNumberFormat="1" applyFont="1" applyFill="1" applyBorder="1"/>
    <xf numFmtId="1" fontId="2" fillId="3" borderId="4" xfId="0" applyNumberFormat="1" applyFont="1" applyFill="1" applyBorder="1"/>
    <xf numFmtId="1" fontId="11" fillId="2" borderId="5" xfId="0" applyNumberFormat="1" applyFont="1" applyFill="1" applyBorder="1"/>
    <xf numFmtId="0" fontId="5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5" fillId="0" borderId="0" xfId="1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1" applyFont="1" applyAlignment="1">
      <alignment horizontal="left" vertical="top"/>
    </xf>
    <xf numFmtId="0" fontId="0" fillId="0" borderId="0" xfId="0" applyAlignment="1"/>
  </cellXfs>
  <cellStyles count="2">
    <cellStyle name="Обычный" xfId="0" builtinId="0"/>
    <cellStyle name="Обычный_П м-т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1/&#1056;&#1072;&#1073;&#1086;&#1095;&#1080;&#1081;%20&#1089;&#1090;&#1086;&#1083;/&#1044;&#1054;&#1050;&#1059;&#1052;&#1045;&#1053;&#1058;&#1067;/&#1055;&#1072;&#1089;&#1087;&#1086;&#1088;&#1090;%20&#1084;&#1072;&#1088;&#1096;&#1088;&#1091;&#1090;&#1072;/&#1052;&#1077;&#1078;&#1084;&#1091;&#1085;&#1080;&#1094;&#1080;&#1087;&#1072;&#1083;&#1100;&#1085;&#1099;&#1077;/&#1050;&#1086;&#1087;&#1080;&#1103;%20526%20&#1056;&#1103;&#1079;&#1072;&#1085;&#1100;-&#1057;&#1082;&#1086;&#1087;&#1080;&#1085;%20(&#1055;&#1088;&#1086;&#1085;&#1089;&#1082;)%2015.08.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 (2)"/>
      <sheetName val="526 (2)"/>
      <sheetName val="526"/>
      <sheetName val="1"/>
      <sheetName val="детские тарифы"/>
      <sheetName val="Содержание"/>
      <sheetName val="2"/>
      <sheetName val="3"/>
      <sheetName val="4"/>
      <sheetName val="5"/>
      <sheetName val="6"/>
      <sheetName val="7 (м)"/>
      <sheetName val="7 (ж)"/>
      <sheetName val="8"/>
      <sheetName val="9"/>
      <sheetName val="10"/>
      <sheetName val="11"/>
      <sheetName val="12"/>
      <sheetName val="Приложение АТП"/>
      <sheetName val="Приложение АП"/>
      <sheetName val="Приложение СПМП"/>
      <sheetName val="7 (ш)"/>
      <sheetName val="Лист2"/>
      <sheetName val="5 (2)"/>
      <sheetName val="13"/>
      <sheetName val="14"/>
      <sheetName val="Лист"/>
      <sheetName val="3, 8 (4)"/>
      <sheetName val="1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1">
          <cell r="A11" t="str">
            <v>АВ Центральный г. Рязань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9"/>
  <sheetViews>
    <sheetView tabSelected="1" workbookViewId="0">
      <selection activeCell="L47" sqref="L47"/>
    </sheetView>
  </sheetViews>
  <sheetFormatPr defaultRowHeight="12.75"/>
  <cols>
    <col min="1" max="4" width="7.42578125" customWidth="1"/>
    <col min="5" max="5" width="8.140625" customWidth="1"/>
    <col min="6" max="6" width="7.42578125" customWidth="1"/>
    <col min="7" max="7" width="7.5703125" customWidth="1"/>
    <col min="8" max="8" width="7" customWidth="1"/>
    <col min="9" max="9" width="6.42578125" customWidth="1"/>
    <col min="10" max="10" width="7.42578125" customWidth="1"/>
    <col min="11" max="11" width="5.140625" customWidth="1"/>
    <col min="12" max="12" width="22.5703125" customWidth="1"/>
    <col min="13" max="13" width="17.7109375" customWidth="1"/>
    <col min="14" max="14" width="7.7109375" customWidth="1"/>
    <col min="15" max="15" width="1.7109375" customWidth="1"/>
    <col min="16" max="16" width="5.42578125" customWidth="1"/>
  </cols>
  <sheetData>
    <row r="1" spans="1:19" ht="25.5" customHeight="1">
      <c r="O1" s="29"/>
    </row>
    <row r="2" spans="1:19" ht="14.25">
      <c r="A2" s="51" t="s">
        <v>24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1:19" ht="33" customHeight="1">
      <c r="A3" s="46" t="s">
        <v>23</v>
      </c>
      <c r="B3" s="46"/>
      <c r="C3" s="52" t="s">
        <v>22</v>
      </c>
      <c r="D3" s="52"/>
      <c r="E3" s="52"/>
      <c r="F3" s="52"/>
      <c r="G3" s="52"/>
      <c r="H3" s="52"/>
      <c r="I3" s="52"/>
      <c r="J3" s="52"/>
      <c r="K3" s="52"/>
      <c r="L3" s="46"/>
      <c r="M3" s="46"/>
      <c r="N3" s="46"/>
      <c r="O3" s="46"/>
    </row>
    <row r="4" spans="1:19">
      <c r="O4" s="50"/>
    </row>
    <row r="5" spans="1:19" ht="16.5" thickBot="1">
      <c r="A5" s="47" t="str">
        <f>'[1]6'!A11</f>
        <v>АВ Центральный г. Рязань</v>
      </c>
      <c r="B5" s="47"/>
      <c r="C5" s="3"/>
      <c r="D5" s="3"/>
      <c r="E5" s="3"/>
      <c r="F5" s="3"/>
      <c r="G5" s="3"/>
      <c r="H5" s="3"/>
      <c r="I5" s="3"/>
      <c r="J5" s="3"/>
      <c r="K5" s="3"/>
      <c r="L5" s="48" t="s">
        <v>21</v>
      </c>
      <c r="M5" s="48"/>
      <c r="N5" s="32"/>
      <c r="O5" s="32"/>
      <c r="P5" s="46"/>
    </row>
    <row r="6" spans="1:19" ht="19.5" thickBot="1">
      <c r="A6" s="45">
        <f>16.2*N16</f>
        <v>68.688000000000002</v>
      </c>
      <c r="B6" s="49" t="s">
        <v>20</v>
      </c>
      <c r="C6" s="3"/>
      <c r="D6" s="3"/>
      <c r="E6" s="3"/>
      <c r="F6" s="3"/>
      <c r="G6" s="3"/>
      <c r="H6" s="3"/>
      <c r="I6" s="3"/>
      <c r="J6" s="3"/>
      <c r="K6" s="3"/>
      <c r="L6" s="3"/>
      <c r="M6" s="48"/>
      <c r="N6" s="32"/>
      <c r="O6" s="32"/>
      <c r="P6" s="46"/>
    </row>
    <row r="7" spans="1:19" ht="18.75">
      <c r="A7" s="43">
        <f>16.2*N17</f>
        <v>34.344000000000001</v>
      </c>
      <c r="B7" s="47"/>
      <c r="C7" s="3"/>
      <c r="D7" s="3"/>
      <c r="E7" s="3"/>
      <c r="F7" s="3"/>
      <c r="G7" s="3"/>
      <c r="H7" s="3"/>
      <c r="I7" s="3"/>
      <c r="J7" s="3"/>
      <c r="K7" s="39"/>
      <c r="L7" s="32"/>
      <c r="M7" s="39"/>
      <c r="N7" s="32"/>
      <c r="O7" s="32"/>
      <c r="P7" s="46"/>
    </row>
    <row r="8" spans="1:19" ht="19.5" thickBot="1">
      <c r="A8" s="23">
        <f>A6*20%</f>
        <v>13.7376</v>
      </c>
      <c r="B8" s="47"/>
      <c r="C8" s="3"/>
      <c r="D8" s="3"/>
      <c r="E8" s="3"/>
      <c r="F8" s="3"/>
      <c r="G8" s="3"/>
      <c r="H8" s="3"/>
      <c r="I8" s="3"/>
      <c r="J8" s="3"/>
      <c r="K8" s="39"/>
      <c r="L8" s="32"/>
      <c r="M8" s="39"/>
      <c r="N8" s="32"/>
      <c r="O8" s="32"/>
      <c r="P8" s="46"/>
    </row>
    <row r="9" spans="1:19" ht="19.5" thickBot="1">
      <c r="A9" s="45">
        <f>39.2*N16</f>
        <v>166.20800000000003</v>
      </c>
      <c r="B9" s="44">
        <f>15.6*N16</f>
        <v>66.144000000000005</v>
      </c>
      <c r="C9" s="30" t="s">
        <v>19</v>
      </c>
      <c r="D9" s="30"/>
      <c r="E9" s="31"/>
      <c r="F9" s="31"/>
      <c r="G9" s="41"/>
      <c r="H9" s="1"/>
      <c r="I9" s="40"/>
      <c r="J9" s="32"/>
      <c r="K9" s="36"/>
      <c r="L9" s="1"/>
      <c r="M9" s="1"/>
      <c r="N9" s="3"/>
      <c r="O9" s="32"/>
      <c r="P9" s="32"/>
    </row>
    <row r="10" spans="1:19" ht="18.75">
      <c r="A10" s="43">
        <f>39.2*N17</f>
        <v>83.104000000000013</v>
      </c>
      <c r="B10" s="42">
        <f>15.6*N17</f>
        <v>33.072000000000003</v>
      </c>
      <c r="C10" s="30"/>
      <c r="D10" s="30"/>
      <c r="E10" s="31"/>
      <c r="F10" s="31"/>
      <c r="G10" s="41"/>
      <c r="H10" s="1"/>
      <c r="I10" s="40"/>
      <c r="J10" s="32"/>
      <c r="K10" s="36" t="s">
        <v>0</v>
      </c>
      <c r="L10" s="1"/>
      <c r="M10" s="1"/>
      <c r="N10" s="3"/>
      <c r="O10" s="32"/>
      <c r="P10" s="32"/>
    </row>
    <row r="11" spans="1:19" ht="19.5" thickBot="1">
      <c r="A11" s="23">
        <f>A9*20%</f>
        <v>33.241600000000005</v>
      </c>
      <c r="B11" s="26">
        <f>B9*20%</f>
        <v>13.228800000000001</v>
      </c>
      <c r="C11" s="3"/>
      <c r="D11" s="3"/>
      <c r="E11" s="31"/>
      <c r="F11" s="31"/>
      <c r="G11" s="41"/>
      <c r="H11" s="1"/>
      <c r="I11" s="40"/>
      <c r="J11" s="32"/>
      <c r="K11" s="3"/>
      <c r="L11" s="36"/>
      <c r="M11" s="32"/>
      <c r="N11" s="1"/>
      <c r="O11" s="32"/>
      <c r="P11" s="32"/>
    </row>
    <row r="12" spans="1:19" ht="19.5" thickBot="1">
      <c r="A12" s="25">
        <f>48.7*N16</f>
        <v>206.48800000000003</v>
      </c>
      <c r="B12" s="28">
        <f>32.6*N16</f>
        <v>138.22400000000002</v>
      </c>
      <c r="C12" s="28">
        <f>9.5*N16</f>
        <v>40.28</v>
      </c>
      <c r="D12" s="30" t="s">
        <v>18</v>
      </c>
      <c r="F12" s="31"/>
      <c r="G12" s="31"/>
      <c r="H12" s="1"/>
      <c r="I12" s="1"/>
      <c r="J12" s="32"/>
      <c r="K12" s="3"/>
      <c r="L12" s="39"/>
      <c r="M12" s="32"/>
      <c r="N12" s="3"/>
      <c r="O12" s="32"/>
      <c r="P12" s="32"/>
    </row>
    <row r="13" spans="1:19" ht="18.75">
      <c r="A13" s="24">
        <f>48.7*N17</f>
        <v>103.24400000000001</v>
      </c>
      <c r="B13" s="27">
        <f>32.6*N17</f>
        <v>69.112000000000009</v>
      </c>
      <c r="C13" s="27">
        <f>9.5*N17</f>
        <v>20.14</v>
      </c>
      <c r="D13" s="38"/>
      <c r="E13" s="30"/>
      <c r="F13" s="31"/>
      <c r="G13" s="31"/>
      <c r="H13" s="1"/>
      <c r="I13" s="1"/>
      <c r="J13" s="32"/>
      <c r="K13" s="3"/>
      <c r="L13" s="53" t="s">
        <v>17</v>
      </c>
      <c r="M13" s="54"/>
      <c r="N13" s="54"/>
      <c r="O13" s="54"/>
      <c r="P13" s="54"/>
      <c r="Q13" s="54"/>
      <c r="R13" s="54"/>
      <c r="S13" s="54"/>
    </row>
    <row r="14" spans="1:19" ht="19.5" thickBot="1">
      <c r="A14" s="23">
        <f>A12*20%</f>
        <v>41.29760000000001</v>
      </c>
      <c r="B14" s="26">
        <f>B12*20%</f>
        <v>27.644800000000004</v>
      </c>
      <c r="C14" s="26">
        <f>C12*20%</f>
        <v>8.0560000000000009</v>
      </c>
      <c r="D14" s="37"/>
      <c r="H14" s="1"/>
      <c r="I14" s="1"/>
      <c r="J14" s="32"/>
      <c r="K14" s="3"/>
      <c r="L14" s="3"/>
      <c r="O14" s="1"/>
      <c r="P14" s="1"/>
    </row>
    <row r="15" spans="1:19" ht="19.5" thickBot="1">
      <c r="A15" s="25">
        <f>52.1*N16</f>
        <v>220.90400000000002</v>
      </c>
      <c r="B15" s="28">
        <f>36.9*N16</f>
        <v>156.45599999999999</v>
      </c>
      <c r="C15" s="28">
        <f>13.6*N16</f>
        <v>57.664000000000001</v>
      </c>
      <c r="D15" s="28">
        <f>4*N16</f>
        <v>16.96</v>
      </c>
      <c r="E15" s="6" t="s">
        <v>16</v>
      </c>
      <c r="F15" s="31"/>
      <c r="G15" s="31"/>
      <c r="H15" s="1"/>
      <c r="I15" s="1"/>
      <c r="J15" s="32"/>
      <c r="K15" s="3"/>
      <c r="L15" s="3"/>
      <c r="O15" s="1"/>
      <c r="P15" s="1"/>
    </row>
    <row r="16" spans="1:19" ht="18.75">
      <c r="A16" s="25">
        <f>52.1*N17</f>
        <v>110.45200000000001</v>
      </c>
      <c r="B16" s="28">
        <f>36.9*N17</f>
        <v>78.227999999999994</v>
      </c>
      <c r="C16" s="28">
        <f>13.6*N17</f>
        <v>28.832000000000001</v>
      </c>
      <c r="D16" s="28">
        <f>4*N17</f>
        <v>8.48</v>
      </c>
      <c r="E16" s="6"/>
      <c r="F16" s="31"/>
      <c r="G16" s="31"/>
      <c r="H16" s="1"/>
      <c r="I16" s="1"/>
      <c r="J16" s="32"/>
      <c r="K16" s="3"/>
      <c r="L16" s="3"/>
      <c r="N16">
        <v>4.24</v>
      </c>
      <c r="O16" s="1"/>
      <c r="P16" s="1"/>
    </row>
    <row r="17" spans="1:19" ht="19.5" thickBot="1">
      <c r="A17" s="23">
        <f>A15*20%</f>
        <v>44.180800000000005</v>
      </c>
      <c r="B17" s="26">
        <f>B15*20%</f>
        <v>31.2912</v>
      </c>
      <c r="C17" s="26">
        <f>C15*20%</f>
        <v>11.532800000000002</v>
      </c>
      <c r="D17" s="26">
        <f>D15*20%</f>
        <v>3.3920000000000003</v>
      </c>
      <c r="E17" s="6"/>
      <c r="F17" s="31"/>
      <c r="G17" s="31"/>
      <c r="H17" s="1"/>
      <c r="I17" s="1"/>
      <c r="J17" s="32"/>
      <c r="K17" s="3"/>
      <c r="L17" s="3"/>
      <c r="N17">
        <v>2.12</v>
      </c>
      <c r="O17" s="1"/>
      <c r="P17" s="1"/>
    </row>
    <row r="18" spans="1:19" ht="19.5" thickBot="1">
      <c r="A18" s="25">
        <f>58.1*N16</f>
        <v>246.34400000000002</v>
      </c>
      <c r="B18" s="28">
        <f>41.9*N16</f>
        <v>177.65600000000001</v>
      </c>
      <c r="C18" s="28">
        <f>18.9*N16</f>
        <v>80.135999999999996</v>
      </c>
      <c r="D18" s="28">
        <f>9.4*N16</f>
        <v>39.856000000000002</v>
      </c>
      <c r="E18" s="28">
        <f>5.3*N16</f>
        <v>22.472000000000001</v>
      </c>
      <c r="F18" s="3" t="s">
        <v>15</v>
      </c>
      <c r="G18" s="31"/>
      <c r="H18" s="1"/>
      <c r="I18" s="1"/>
      <c r="J18" s="32"/>
      <c r="K18" s="3"/>
      <c r="L18" s="3"/>
      <c r="O18" s="1"/>
      <c r="P18" s="1"/>
    </row>
    <row r="19" spans="1:19" ht="18.75">
      <c r="A19" s="24">
        <f>58.1*N17</f>
        <v>123.17200000000001</v>
      </c>
      <c r="B19" s="27">
        <f>41.9*N17</f>
        <v>88.828000000000003</v>
      </c>
      <c r="C19" s="27">
        <f>18.9*N17</f>
        <v>40.067999999999998</v>
      </c>
      <c r="D19" s="27">
        <f>9.4*N17</f>
        <v>19.928000000000001</v>
      </c>
      <c r="E19" s="27">
        <f>5.3*N17</f>
        <v>11.236000000000001</v>
      </c>
      <c r="F19" s="3"/>
      <c r="G19" s="31"/>
      <c r="H19" s="1"/>
      <c r="I19" s="1"/>
      <c r="J19" s="32"/>
      <c r="K19" s="3"/>
      <c r="L19" s="29" t="s">
        <v>14</v>
      </c>
      <c r="O19" s="1"/>
      <c r="P19" s="1"/>
    </row>
    <row r="20" spans="1:19" ht="19.5" thickBot="1">
      <c r="A20" s="23">
        <f>A18*20%</f>
        <v>49.268800000000006</v>
      </c>
      <c r="B20" s="26">
        <f>B18*20%</f>
        <v>35.531200000000005</v>
      </c>
      <c r="C20" s="26">
        <f>C18*20%</f>
        <v>16.027200000000001</v>
      </c>
      <c r="D20" s="26">
        <f>D18*20%</f>
        <v>7.9712000000000005</v>
      </c>
      <c r="E20" s="26">
        <f>E18*20%</f>
        <v>4.4944000000000006</v>
      </c>
      <c r="F20" s="31"/>
      <c r="G20" s="31"/>
      <c r="H20" s="1"/>
      <c r="I20" s="1"/>
      <c r="J20" s="32"/>
      <c r="K20" s="3"/>
      <c r="L20" s="36"/>
      <c r="M20" s="1"/>
      <c r="N20" s="1"/>
      <c r="O20" s="35"/>
      <c r="P20" s="3"/>
    </row>
    <row r="21" spans="1:19" ht="19.5" thickBot="1">
      <c r="A21" s="25">
        <f>61.8*N16</f>
        <v>262.03199999999998</v>
      </c>
      <c r="B21" s="28">
        <f>45.2*N16</f>
        <v>191.64800000000002</v>
      </c>
      <c r="C21" s="28">
        <f>22.6*N16</f>
        <v>95.824000000000012</v>
      </c>
      <c r="D21" s="28">
        <f>13.1*N16</f>
        <v>55.544000000000004</v>
      </c>
      <c r="E21" s="28">
        <f>9.1*N16</f>
        <v>38.584000000000003</v>
      </c>
      <c r="F21" s="28">
        <f>3.7*N16</f>
        <v>15.688000000000002</v>
      </c>
      <c r="G21" s="30" t="s">
        <v>13</v>
      </c>
      <c r="H21" s="1"/>
      <c r="I21" s="1"/>
      <c r="J21" s="1"/>
      <c r="L21" s="34"/>
      <c r="M21" s="3"/>
      <c r="N21" s="3"/>
      <c r="O21" s="33"/>
      <c r="P21" s="32"/>
    </row>
    <row r="22" spans="1:19" ht="18.75">
      <c r="A22" s="24">
        <f>61.8*N17</f>
        <v>131.01599999999999</v>
      </c>
      <c r="B22" s="27">
        <f>45.2*N17</f>
        <v>95.824000000000012</v>
      </c>
      <c r="C22" s="27">
        <f>22.6*N17</f>
        <v>47.912000000000006</v>
      </c>
      <c r="D22" s="27">
        <f>13.1*N17</f>
        <v>27.772000000000002</v>
      </c>
      <c r="E22" s="27">
        <f>9.1*N17</f>
        <v>19.292000000000002</v>
      </c>
      <c r="F22" s="27">
        <f>3.7*N17</f>
        <v>7.8440000000000012</v>
      </c>
      <c r="G22" s="30"/>
      <c r="H22" s="1"/>
      <c r="I22" s="1"/>
      <c r="J22" s="1"/>
      <c r="L22" s="34"/>
      <c r="M22" s="3"/>
      <c r="N22" s="3"/>
      <c r="O22" s="33"/>
      <c r="P22" s="32"/>
    </row>
    <row r="23" spans="1:19" ht="19.5" thickBot="1">
      <c r="A23" s="23">
        <f t="shared" ref="A23:F23" si="0">A21*20%</f>
        <v>52.406399999999998</v>
      </c>
      <c r="B23" s="26">
        <f t="shared" si="0"/>
        <v>38.329600000000006</v>
      </c>
      <c r="C23" s="26">
        <f t="shared" si="0"/>
        <v>19.164800000000003</v>
      </c>
      <c r="D23" s="26">
        <f t="shared" si="0"/>
        <v>11.108800000000002</v>
      </c>
      <c r="E23" s="26">
        <f t="shared" si="0"/>
        <v>7.716800000000001</v>
      </c>
      <c r="F23" s="26">
        <f t="shared" si="0"/>
        <v>3.1376000000000008</v>
      </c>
      <c r="G23" s="31"/>
      <c r="H23" s="1"/>
      <c r="I23" s="1"/>
      <c r="J23" s="1"/>
      <c r="K23" s="3"/>
      <c r="L23" s="53"/>
      <c r="M23" s="54"/>
      <c r="N23" s="54"/>
      <c r="O23" s="54"/>
      <c r="P23" s="54"/>
      <c r="Q23" s="54"/>
      <c r="R23" s="54"/>
      <c r="S23" s="54"/>
    </row>
    <row r="24" spans="1:19" ht="19.5" thickBot="1">
      <c r="A24" s="25">
        <f>67.1*N16</f>
        <v>284.50399999999996</v>
      </c>
      <c r="B24" s="28">
        <f>50.8*N16</f>
        <v>215.392</v>
      </c>
      <c r="C24" s="28">
        <f>27.9*N16</f>
        <v>118.29600000000001</v>
      </c>
      <c r="D24" s="28">
        <f>18.4*N16</f>
        <v>78.015999999999991</v>
      </c>
      <c r="E24" s="28">
        <f>14.3*N16</f>
        <v>60.632000000000005</v>
      </c>
      <c r="F24" s="28">
        <f>9*N16</f>
        <v>38.160000000000004</v>
      </c>
      <c r="G24" s="28">
        <f>5.3*N16</f>
        <v>22.472000000000001</v>
      </c>
      <c r="H24" s="30" t="s">
        <v>12</v>
      </c>
      <c r="I24" s="1"/>
      <c r="J24" s="1"/>
      <c r="K24" s="1"/>
      <c r="L24" s="3"/>
      <c r="O24" s="1"/>
      <c r="P24" s="1"/>
    </row>
    <row r="25" spans="1:19" ht="18.75">
      <c r="A25" s="24">
        <f>67.1*N17</f>
        <v>142.25199999999998</v>
      </c>
      <c r="B25" s="27">
        <f>50.8*N17</f>
        <v>107.696</v>
      </c>
      <c r="C25" s="27">
        <f>27.9*N17</f>
        <v>59.148000000000003</v>
      </c>
      <c r="D25" s="27">
        <f>18.4*N17</f>
        <v>39.007999999999996</v>
      </c>
      <c r="E25" s="27">
        <f>14.3*N17</f>
        <v>30.316000000000003</v>
      </c>
      <c r="F25" s="27">
        <f>9*N17</f>
        <v>19.080000000000002</v>
      </c>
      <c r="G25" s="27">
        <f>5.3*N17</f>
        <v>11.236000000000001</v>
      </c>
      <c r="H25" s="30"/>
      <c r="I25" s="1"/>
      <c r="J25" s="1"/>
      <c r="K25" s="1"/>
      <c r="L25" s="3"/>
      <c r="O25" s="1"/>
      <c r="P25" s="1"/>
    </row>
    <row r="26" spans="1:19" ht="19.5" thickBot="1">
      <c r="A26" s="23">
        <f t="shared" ref="A26:G26" si="1">A24*20%</f>
        <v>56.900799999999997</v>
      </c>
      <c r="B26" s="26">
        <f t="shared" si="1"/>
        <v>43.078400000000002</v>
      </c>
      <c r="C26" s="26">
        <f t="shared" si="1"/>
        <v>23.659200000000002</v>
      </c>
      <c r="D26" s="26">
        <f t="shared" si="1"/>
        <v>15.603199999999999</v>
      </c>
      <c r="E26" s="26">
        <f t="shared" si="1"/>
        <v>12.126400000000002</v>
      </c>
      <c r="F26" s="26">
        <f t="shared" si="1"/>
        <v>7.6320000000000014</v>
      </c>
      <c r="G26" s="26">
        <f t="shared" si="1"/>
        <v>4.4944000000000006</v>
      </c>
      <c r="H26" s="1"/>
      <c r="I26" s="1"/>
      <c r="J26" s="1"/>
      <c r="K26" s="1"/>
      <c r="L26" s="29"/>
      <c r="O26" s="1"/>
      <c r="P26" s="1"/>
    </row>
    <row r="27" spans="1:19" ht="19.5" thickBot="1">
      <c r="A27" s="25">
        <f>74.6*N16</f>
        <v>316.30399999999997</v>
      </c>
      <c r="B27" s="28">
        <f>58.5*N16</f>
        <v>248.04000000000002</v>
      </c>
      <c r="C27" s="28">
        <f>35.4*N16</f>
        <v>150.096</v>
      </c>
      <c r="D27" s="28">
        <f>25.9*N16</f>
        <v>109.816</v>
      </c>
      <c r="E27" s="28">
        <f>21.9*N16</f>
        <v>92.855999999999995</v>
      </c>
      <c r="F27" s="28">
        <f>16.5*N16</f>
        <v>69.960000000000008</v>
      </c>
      <c r="G27" s="28">
        <f>12.8</f>
        <v>12.8</v>
      </c>
      <c r="H27" s="28">
        <f>7.5*N16</f>
        <v>31.8</v>
      </c>
      <c r="I27" s="1" t="s">
        <v>11</v>
      </c>
      <c r="J27" s="1"/>
      <c r="K27" s="1"/>
      <c r="L27" s="1"/>
      <c r="O27" s="1"/>
      <c r="P27" s="1"/>
    </row>
    <row r="28" spans="1:19" ht="18.75">
      <c r="A28" s="24">
        <f>74.6*N17</f>
        <v>158.15199999999999</v>
      </c>
      <c r="B28" s="27">
        <f>58.5*N17</f>
        <v>124.02000000000001</v>
      </c>
      <c r="C28" s="27">
        <f>35.4*N17</f>
        <v>75.048000000000002</v>
      </c>
      <c r="D28" s="27">
        <f>25.9*N17</f>
        <v>54.908000000000001</v>
      </c>
      <c r="E28" s="27">
        <f>21.9*N17</f>
        <v>46.427999999999997</v>
      </c>
      <c r="F28" s="27">
        <f>16.5*N17</f>
        <v>34.980000000000004</v>
      </c>
      <c r="G28" s="27">
        <f>12.8</f>
        <v>12.8</v>
      </c>
      <c r="H28" s="27">
        <f>7.5*N17</f>
        <v>15.9</v>
      </c>
      <c r="I28" s="1"/>
      <c r="J28" s="1"/>
      <c r="K28" s="1"/>
      <c r="L28" s="1"/>
      <c r="O28" s="1"/>
      <c r="P28" s="1"/>
    </row>
    <row r="29" spans="1:19" ht="19.5" thickBot="1">
      <c r="A29" s="23">
        <f t="shared" ref="A29:H29" si="2">A27*20%</f>
        <v>63.260799999999996</v>
      </c>
      <c r="B29" s="26">
        <f t="shared" si="2"/>
        <v>49.608000000000004</v>
      </c>
      <c r="C29" s="26">
        <f t="shared" si="2"/>
        <v>30.019200000000001</v>
      </c>
      <c r="D29" s="26">
        <f t="shared" si="2"/>
        <v>21.963200000000001</v>
      </c>
      <c r="E29" s="26">
        <f t="shared" si="2"/>
        <v>18.571200000000001</v>
      </c>
      <c r="F29" s="26">
        <f t="shared" si="2"/>
        <v>13.992000000000003</v>
      </c>
      <c r="G29" s="26">
        <f t="shared" si="2"/>
        <v>2.5600000000000005</v>
      </c>
      <c r="H29" s="26">
        <f t="shared" si="2"/>
        <v>6.36</v>
      </c>
      <c r="I29" s="1"/>
      <c r="J29" s="1"/>
      <c r="K29" s="1"/>
      <c r="L29" s="1"/>
      <c r="O29" s="1"/>
      <c r="P29" s="1"/>
    </row>
    <row r="30" spans="1:19" ht="19.5" thickBot="1">
      <c r="A30" s="25">
        <f>82.2*N16</f>
        <v>348.52800000000002</v>
      </c>
      <c r="B30" s="28">
        <f>65.7*N16</f>
        <v>278.56800000000004</v>
      </c>
      <c r="C30" s="28">
        <f>43*N16</f>
        <v>182.32000000000002</v>
      </c>
      <c r="D30" s="28">
        <f>33.5*N16</f>
        <v>142.04000000000002</v>
      </c>
      <c r="E30" s="28">
        <f>29.6*N16</f>
        <v>125.50400000000002</v>
      </c>
      <c r="F30" s="28">
        <f>24.1*N16</f>
        <v>102.18400000000001</v>
      </c>
      <c r="G30" s="28">
        <f>20.4*N16</f>
        <v>86.495999999999995</v>
      </c>
      <c r="H30" s="28">
        <f>15.1*N16</f>
        <v>64.024000000000001</v>
      </c>
      <c r="I30" s="28">
        <f>7.6*N16</f>
        <v>32.223999999999997</v>
      </c>
      <c r="J30" s="1" t="s">
        <v>10</v>
      </c>
      <c r="K30" s="1"/>
      <c r="L30" s="1"/>
      <c r="O30" s="1"/>
      <c r="P30" s="1"/>
    </row>
    <row r="31" spans="1:19" ht="18.75">
      <c r="A31" s="24">
        <f>82.2*N17</f>
        <v>174.26400000000001</v>
      </c>
      <c r="B31" s="27">
        <f>65.7*N17</f>
        <v>139.28400000000002</v>
      </c>
      <c r="C31" s="27">
        <f>43*N17</f>
        <v>91.160000000000011</v>
      </c>
      <c r="D31" s="27">
        <f>33.5*N17</f>
        <v>71.02000000000001</v>
      </c>
      <c r="E31" s="27">
        <f>29.6*N17</f>
        <v>62.75200000000001</v>
      </c>
      <c r="F31" s="27">
        <f>24.1*N17</f>
        <v>51.092000000000006</v>
      </c>
      <c r="G31" s="27">
        <f>20.4*N17</f>
        <v>43.247999999999998</v>
      </c>
      <c r="H31" s="27">
        <f>15.1*N17</f>
        <v>32.012</v>
      </c>
      <c r="I31" s="27">
        <f>7.6*N17</f>
        <v>16.111999999999998</v>
      </c>
      <c r="J31" s="1"/>
      <c r="K31" s="1"/>
      <c r="L31" s="1"/>
      <c r="O31" s="1"/>
      <c r="P31" s="1"/>
    </row>
    <row r="32" spans="1:19" ht="19.5" thickBot="1">
      <c r="A32" s="23">
        <f t="shared" ref="A32:I32" si="3">A30*20%</f>
        <v>69.705600000000004</v>
      </c>
      <c r="B32" s="26">
        <f t="shared" si="3"/>
        <v>55.713600000000014</v>
      </c>
      <c r="C32" s="26">
        <f t="shared" si="3"/>
        <v>36.464000000000006</v>
      </c>
      <c r="D32" s="26">
        <f t="shared" si="3"/>
        <v>28.408000000000005</v>
      </c>
      <c r="E32" s="26">
        <f t="shared" si="3"/>
        <v>25.100800000000007</v>
      </c>
      <c r="F32" s="26">
        <f t="shared" si="3"/>
        <v>20.436800000000005</v>
      </c>
      <c r="G32" s="26">
        <f t="shared" si="3"/>
        <v>17.299199999999999</v>
      </c>
      <c r="H32" s="26">
        <f t="shared" si="3"/>
        <v>12.8048</v>
      </c>
      <c r="I32" s="26">
        <f t="shared" si="3"/>
        <v>6.4447999999999999</v>
      </c>
      <c r="J32" s="1"/>
      <c r="K32" s="1"/>
      <c r="L32" s="1"/>
      <c r="O32" s="1"/>
      <c r="P32" s="1"/>
    </row>
    <row r="33" spans="1:16" ht="19.5" thickBot="1">
      <c r="A33" s="25">
        <f>103.8*N16</f>
        <v>440.11200000000002</v>
      </c>
      <c r="B33" s="25">
        <f>90*N16</f>
        <v>381.6</v>
      </c>
      <c r="C33" s="25">
        <f>64.6*N16</f>
        <v>273.904</v>
      </c>
      <c r="D33" s="25">
        <f>55.1*N16</f>
        <v>233.62400000000002</v>
      </c>
      <c r="E33" s="25">
        <f>52.7*N16</f>
        <v>223.44800000000004</v>
      </c>
      <c r="F33" s="25">
        <f>45.7*N16</f>
        <v>193.76800000000003</v>
      </c>
      <c r="G33" s="25">
        <f>42*N16</f>
        <v>178.08</v>
      </c>
      <c r="H33" s="25">
        <f>36.7*N16</f>
        <v>155.60800000000003</v>
      </c>
      <c r="I33" s="25">
        <f>29.2*N16</f>
        <v>123.80800000000001</v>
      </c>
      <c r="J33" s="25">
        <f>21.6*N16</f>
        <v>91.584000000000017</v>
      </c>
      <c r="K33" s="1"/>
      <c r="L33" s="1"/>
      <c r="O33" s="1"/>
      <c r="P33" s="1"/>
    </row>
    <row r="34" spans="1:16" ht="18.75">
      <c r="A34" s="24">
        <f>103.8*N17</f>
        <v>220.05600000000001</v>
      </c>
      <c r="B34" s="24">
        <f>90*N17</f>
        <v>190.8</v>
      </c>
      <c r="C34" s="24">
        <f>64.6*N17</f>
        <v>136.952</v>
      </c>
      <c r="D34" s="24">
        <f>55.1*N17</f>
        <v>116.81200000000001</v>
      </c>
      <c r="E34" s="24">
        <f>52.7*N17</f>
        <v>111.72400000000002</v>
      </c>
      <c r="F34" s="24">
        <f>45.7*N17</f>
        <v>96.884000000000015</v>
      </c>
      <c r="G34" s="24">
        <f>42*N17</f>
        <v>89.04</v>
      </c>
      <c r="H34" s="24">
        <f>36.7*N17</f>
        <v>77.804000000000016</v>
      </c>
      <c r="I34" s="24">
        <f>29.2*N17</f>
        <v>61.904000000000003</v>
      </c>
      <c r="J34" s="24">
        <f>21.6*N17</f>
        <v>45.792000000000009</v>
      </c>
      <c r="K34" s="1"/>
      <c r="L34" s="1"/>
      <c r="O34" s="1"/>
      <c r="P34" s="1"/>
    </row>
    <row r="35" spans="1:16" ht="19.5" thickBot="1">
      <c r="A35" s="23">
        <f t="shared" ref="A35:J35" si="4">A33*20%</f>
        <v>88.022400000000005</v>
      </c>
      <c r="B35" s="23">
        <f t="shared" si="4"/>
        <v>76.320000000000007</v>
      </c>
      <c r="C35" s="23">
        <f t="shared" si="4"/>
        <v>54.780799999999999</v>
      </c>
      <c r="D35" s="23">
        <f t="shared" si="4"/>
        <v>46.724800000000009</v>
      </c>
      <c r="E35" s="23">
        <f t="shared" si="4"/>
        <v>44.689600000000013</v>
      </c>
      <c r="F35" s="23">
        <f t="shared" si="4"/>
        <v>38.753600000000006</v>
      </c>
      <c r="G35" s="23">
        <f t="shared" si="4"/>
        <v>35.616000000000007</v>
      </c>
      <c r="H35" s="23">
        <f t="shared" si="4"/>
        <v>31.121600000000008</v>
      </c>
      <c r="I35" s="23">
        <f t="shared" si="4"/>
        <v>24.761600000000001</v>
      </c>
      <c r="J35" s="23">
        <f t="shared" si="4"/>
        <v>18.316800000000004</v>
      </c>
      <c r="K35" s="22" t="s">
        <v>9</v>
      </c>
      <c r="L35" s="22"/>
      <c r="M35" s="19"/>
      <c r="N35" s="19"/>
      <c r="O35" s="19"/>
      <c r="P35" s="19"/>
    </row>
    <row r="36" spans="1:16" ht="15.75">
      <c r="A36" s="21"/>
      <c r="B36" s="21"/>
      <c r="C36" s="21"/>
      <c r="D36" s="21"/>
      <c r="E36" s="21"/>
      <c r="F36" s="21"/>
      <c r="G36" s="21"/>
      <c r="H36" s="18"/>
      <c r="I36" s="20"/>
      <c r="J36" s="20"/>
      <c r="K36" s="20"/>
      <c r="L36" s="13"/>
      <c r="M36" s="6"/>
      <c r="N36" s="13"/>
      <c r="O36" s="13"/>
      <c r="P36" s="13"/>
    </row>
    <row r="37" spans="1:16" ht="12.75" customHeight="1">
      <c r="A37" s="19"/>
      <c r="B37" s="19"/>
      <c r="C37" s="19"/>
      <c r="D37" s="19"/>
      <c r="E37" s="19"/>
      <c r="F37" s="19"/>
      <c r="G37" s="19"/>
      <c r="H37" s="7"/>
      <c r="I37" s="12"/>
      <c r="J37" s="6"/>
      <c r="K37" s="6"/>
      <c r="L37" s="6"/>
      <c r="M37" s="5"/>
      <c r="N37" s="6"/>
      <c r="O37" s="3"/>
      <c r="P37" s="11"/>
    </row>
    <row r="38" spans="1:16" ht="20.25" customHeight="1">
      <c r="A38" s="18" t="s">
        <v>8</v>
      </c>
      <c r="B38" s="18"/>
      <c r="C38" s="18"/>
      <c r="D38" s="18"/>
      <c r="E38" s="18"/>
      <c r="F38" s="18"/>
      <c r="G38" s="18"/>
      <c r="H38" s="18"/>
      <c r="I38" s="18"/>
      <c r="J38" s="17"/>
      <c r="K38" s="17"/>
      <c r="L38" s="16" t="s">
        <v>7</v>
      </c>
      <c r="M38" s="15"/>
      <c r="N38" s="14"/>
      <c r="O38" s="14"/>
      <c r="P38" s="13"/>
    </row>
    <row r="39" spans="1:16" ht="15.75">
      <c r="A39" s="1"/>
      <c r="B39" s="1"/>
      <c r="C39" s="3"/>
      <c r="D39" s="3"/>
      <c r="E39" s="6"/>
      <c r="F39" s="7"/>
      <c r="G39" s="7"/>
      <c r="H39" s="7"/>
      <c r="I39" s="12"/>
      <c r="J39" s="3"/>
      <c r="K39" s="3"/>
      <c r="L39" s="3"/>
      <c r="M39" s="5"/>
      <c r="N39" s="3"/>
      <c r="O39" s="3"/>
      <c r="P39" s="11"/>
    </row>
    <row r="40" spans="1:16" ht="15.75">
      <c r="A40" s="3" t="s">
        <v>2</v>
      </c>
      <c r="B40" s="3"/>
      <c r="C40" s="3"/>
      <c r="D40" s="3"/>
      <c r="E40" s="3"/>
      <c r="F40" s="4"/>
      <c r="G40" s="4"/>
      <c r="H40" s="4"/>
      <c r="I40" s="10"/>
      <c r="J40" s="10"/>
      <c r="K40" s="9" t="s">
        <v>6</v>
      </c>
      <c r="L40" s="8"/>
      <c r="M40" s="5"/>
      <c r="N40" s="5"/>
      <c r="O40" s="5"/>
      <c r="P40" s="5"/>
    </row>
    <row r="41" spans="1:16" ht="26.25" customHeight="1">
      <c r="A41" s="1" t="s">
        <v>5</v>
      </c>
      <c r="B41" s="1"/>
      <c r="C41" s="3"/>
      <c r="D41" s="3"/>
      <c r="E41" s="6"/>
      <c r="F41" s="7"/>
      <c r="G41" s="7"/>
      <c r="H41" s="4"/>
      <c r="I41" s="5"/>
      <c r="J41" s="5"/>
      <c r="K41" s="7"/>
      <c r="L41" s="6"/>
      <c r="M41" s="5"/>
      <c r="N41" s="5"/>
      <c r="O41" s="5"/>
      <c r="P41" s="5"/>
    </row>
    <row r="42" spans="1:16" ht="15.75">
      <c r="A42" s="1" t="s">
        <v>4</v>
      </c>
      <c r="B42" s="1"/>
      <c r="C42" s="3"/>
      <c r="D42" s="3"/>
      <c r="E42" s="6"/>
      <c r="F42" s="7"/>
      <c r="G42" s="7"/>
      <c r="H42" s="4"/>
      <c r="I42" s="5"/>
      <c r="J42" s="5"/>
      <c r="K42" s="7"/>
      <c r="L42" s="6"/>
      <c r="M42" s="5"/>
      <c r="N42" s="5"/>
      <c r="O42" s="5"/>
      <c r="P42" s="5"/>
    </row>
    <row r="43" spans="1:16" ht="15.75" customHeight="1">
      <c r="A43" s="3" t="s">
        <v>3</v>
      </c>
      <c r="B43" s="3"/>
      <c r="C43" s="3"/>
      <c r="D43" s="3"/>
      <c r="E43" s="3"/>
      <c r="F43" s="3"/>
      <c r="G43" s="5"/>
      <c r="H43" s="3"/>
      <c r="I43" s="3"/>
      <c r="J43" s="3"/>
      <c r="K43" s="3"/>
      <c r="L43" s="3"/>
      <c r="M43" s="3"/>
      <c r="N43" s="3"/>
      <c r="O43" s="3"/>
      <c r="P43" s="1"/>
    </row>
    <row r="44" spans="1:16" ht="15.75" hidden="1">
      <c r="A44" s="3" t="s">
        <v>2</v>
      </c>
      <c r="B44" s="3"/>
      <c r="C44" s="3"/>
      <c r="D44" s="3"/>
      <c r="E44" s="3"/>
      <c r="F44" s="4"/>
      <c r="G44" s="4"/>
      <c r="P44" s="1"/>
    </row>
    <row r="45" spans="1:16" ht="15.75" hidden="1">
      <c r="A45" s="3"/>
      <c r="B45" s="3"/>
      <c r="C45" s="3"/>
      <c r="D45" s="3"/>
      <c r="E45" s="3"/>
      <c r="F45" s="3"/>
      <c r="G45" s="3"/>
      <c r="M45" s="1" t="s">
        <v>0</v>
      </c>
      <c r="P45" s="1"/>
    </row>
    <row r="46" spans="1:16" ht="15" hidden="1">
      <c r="A46" s="2" t="s">
        <v>1</v>
      </c>
      <c r="B46" s="2"/>
      <c r="M46" s="1" t="s">
        <v>0</v>
      </c>
      <c r="P46" s="1"/>
    </row>
    <row r="47" spans="1:16" ht="31.5" customHeight="1">
      <c r="A47" s="2"/>
      <c r="B47" s="2"/>
      <c r="L47" s="1"/>
      <c r="M47" s="1"/>
    </row>
    <row r="48" spans="1:16" ht="15">
      <c r="A48" s="2"/>
      <c r="B48" s="2"/>
    </row>
    <row r="49" spans="1:2" ht="15">
      <c r="A49" s="1"/>
      <c r="B49" s="1"/>
    </row>
  </sheetData>
  <mergeCells count="4">
    <mergeCell ref="A2:O2"/>
    <mergeCell ref="C3:K3"/>
    <mergeCell ref="L23:S23"/>
    <mergeCell ref="L13:S13"/>
  </mergeCells>
  <pageMargins left="0.55118110236220474" right="0" top="0.78740157480314965" bottom="0.78740157480314965" header="0.51181102362204722" footer="0.51181102362204722"/>
  <pageSetup paperSize="1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мяг пронск со строитель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comp26032018</dc:creator>
  <cp:lastModifiedBy>comp26032018</cp:lastModifiedBy>
  <dcterms:created xsi:type="dcterms:W3CDTF">2025-01-21T08:37:24Z</dcterms:created>
  <dcterms:modified xsi:type="dcterms:W3CDTF">2025-01-21T08:51:42Z</dcterms:modified>
</cp:coreProperties>
</file>