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19440" windowHeight="12585"/>
  </bookViews>
  <sheets>
    <sheet name="ТРОИЦКОЕ" sheetId="1" r:id="rId1"/>
  </sheets>
  <definedNames>
    <definedName name="_xlnm.Print_Area" localSheetId="0">ТРОИЦКОЕ!$A$1:$T$22</definedName>
  </definedNames>
  <calcPr calcId="144525"/>
</workbook>
</file>

<file path=xl/calcChain.xml><?xml version="1.0" encoding="utf-8"?>
<calcChain xmlns="http://schemas.openxmlformats.org/spreadsheetml/2006/main">
  <c r="R21" i="1" l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A21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A20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A19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A18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A17" i="1"/>
  <c r="M16" i="1"/>
  <c r="L16" i="1"/>
  <c r="K16" i="1"/>
  <c r="J16" i="1"/>
  <c r="I16" i="1"/>
  <c r="H16" i="1"/>
  <c r="G16" i="1"/>
  <c r="F16" i="1"/>
  <c r="E16" i="1"/>
  <c r="D16" i="1"/>
  <c r="C16" i="1"/>
  <c r="B16" i="1"/>
  <c r="A16" i="1"/>
  <c r="L15" i="1"/>
  <c r="K15" i="1"/>
  <c r="J15" i="1"/>
  <c r="I15" i="1"/>
  <c r="H15" i="1"/>
  <c r="G15" i="1"/>
  <c r="F15" i="1"/>
  <c r="E15" i="1"/>
  <c r="D15" i="1"/>
  <c r="C15" i="1"/>
  <c r="B15" i="1"/>
  <c r="A15" i="1"/>
  <c r="K14" i="1"/>
  <c r="J14" i="1"/>
  <c r="I14" i="1"/>
  <c r="H14" i="1"/>
  <c r="G14" i="1"/>
  <c r="F14" i="1"/>
  <c r="E14" i="1"/>
  <c r="D14" i="1"/>
  <c r="C14" i="1"/>
  <c r="B14" i="1"/>
  <c r="A14" i="1"/>
  <c r="J13" i="1"/>
  <c r="I13" i="1"/>
  <c r="H13" i="1"/>
  <c r="G13" i="1"/>
  <c r="F13" i="1"/>
  <c r="E13" i="1"/>
  <c r="D13" i="1"/>
  <c r="C13" i="1"/>
  <c r="B13" i="1"/>
  <c r="A13" i="1"/>
  <c r="I12" i="1"/>
  <c r="H12" i="1"/>
  <c r="G12" i="1"/>
  <c r="F12" i="1"/>
  <c r="E12" i="1"/>
  <c r="D12" i="1"/>
  <c r="C12" i="1"/>
  <c r="B12" i="1"/>
  <c r="A12" i="1"/>
  <c r="H11" i="1"/>
  <c r="G11" i="1"/>
  <c r="F11" i="1"/>
  <c r="E11" i="1"/>
  <c r="D11" i="1"/>
  <c r="C11" i="1"/>
  <c r="B11" i="1"/>
  <c r="A11" i="1"/>
  <c r="G10" i="1"/>
  <c r="E10" i="1"/>
  <c r="D10" i="1"/>
  <c r="C10" i="1"/>
  <c r="B10" i="1"/>
  <c r="A10" i="1"/>
  <c r="F9" i="1"/>
  <c r="E9" i="1"/>
  <c r="D9" i="1"/>
  <c r="C9" i="1"/>
  <c r="E8" i="1"/>
  <c r="D8" i="1"/>
  <c r="C8" i="1"/>
  <c r="A8" i="1"/>
  <c r="D7" i="1"/>
  <c r="C7" i="1"/>
  <c r="A7" i="1"/>
  <c r="C6" i="1"/>
  <c r="A5" i="1"/>
</calcChain>
</file>

<file path=xl/sharedStrings.xml><?xml version="1.0" encoding="utf-8"?>
<sst xmlns="http://schemas.openxmlformats.org/spreadsheetml/2006/main" count="21" uniqueCount="21">
  <si>
    <t>ТАРИФ МАРШРУТА № 107   С 01.01.2025г.</t>
  </si>
  <si>
    <t>СТ.ВЕРДА</t>
  </si>
  <si>
    <t>НАДЕЖДА</t>
  </si>
  <si>
    <t>КАЗИНКА</t>
  </si>
  <si>
    <t xml:space="preserve">  </t>
  </si>
  <si>
    <t>АЭРОПОРТ</t>
  </si>
  <si>
    <t>ШКОЛА</t>
  </si>
  <si>
    <t>КООПЕРАТОР</t>
  </si>
  <si>
    <t>ЦЕНТР</t>
  </si>
  <si>
    <t>КРИВСКОЕ</t>
  </si>
  <si>
    <t>БУЗЛОВО</t>
  </si>
  <si>
    <t>ДУБОВКА</t>
  </si>
  <si>
    <t>МУРАВЛЯНКА</t>
  </si>
  <si>
    <t>ЯГОДНОЕ</t>
  </si>
  <si>
    <t>МОРДОВО</t>
  </si>
  <si>
    <t>СТ.ЯГОДНОЕ</t>
  </si>
  <si>
    <t>АЛЕКСЕЕВКА ФЕРМА</t>
  </si>
  <si>
    <t>АЛЕКСЕЕВКА ЦЕНТР</t>
  </si>
  <si>
    <t>АЛЕКСЕЕВКА КОНЕЧНАЯ</t>
  </si>
  <si>
    <t>ПО ТРЕБОВАНИЮ</t>
  </si>
  <si>
    <t>ТРОИЦКОЕ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</si>
</sst>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b/>
      <sz val="24"/>
      <name val="Arial"/>
      <family val="2"/>
      <charset val="204"/>
    </font>
    <font>
      <b/>
      <sz val="16"/>
      <name val="Arial"/>
      <family val="2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1" fontId="3" fillId="0" borderId="1" xfId="0" applyNumberFormat="1" applyFont="1" applyBorder="1" applyAlignment="1">
      <alignment horizontal="center" vertical="center"/>
    </xf>
    <xf numFmtId="1" fontId="2" fillId="0" borderId="0" xfId="0" applyNumberFormat="1" applyFont="1" applyAlignment="1">
      <alignment vertical="center"/>
    </xf>
    <xf numFmtId="1" fontId="3" fillId="0" borderId="0" xfId="0" applyNumberFormat="1" applyFont="1" applyAlignment="1">
      <alignment vertical="center"/>
    </xf>
    <xf numFmtId="1" fontId="2" fillId="0" borderId="0" xfId="0" applyNumberFormat="1" applyFont="1"/>
    <xf numFmtId="1" fontId="3" fillId="0" borderId="2" xfId="0" applyNumberFormat="1" applyFont="1" applyBorder="1" applyAlignment="1">
      <alignment horizontal="center" vertical="center"/>
    </xf>
    <xf numFmtId="1" fontId="3" fillId="0" borderId="3" xfId="0" applyNumberFormat="1" applyFont="1" applyBorder="1" applyAlignment="1">
      <alignment horizontal="center" vertical="center"/>
    </xf>
    <xf numFmtId="1" fontId="3" fillId="0" borderId="4" xfId="0" applyNumberFormat="1" applyFont="1" applyBorder="1" applyAlignment="1">
      <alignment horizontal="center" vertical="center"/>
    </xf>
    <xf numFmtId="1" fontId="2" fillId="0" borderId="2" xfId="0" applyNumberFormat="1" applyFont="1" applyBorder="1" applyAlignment="1">
      <alignment horizontal="center" vertical="center"/>
    </xf>
    <xf numFmtId="1" fontId="2" fillId="0" borderId="5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1" fontId="2" fillId="0" borderId="3" xfId="0" applyNumberFormat="1" applyFont="1" applyBorder="1" applyAlignment="1">
      <alignment horizontal="center" vertical="center"/>
    </xf>
    <xf numFmtId="1" fontId="2" fillId="0" borderId="4" xfId="0" applyNumberFormat="1" applyFont="1" applyBorder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1" fontId="2" fillId="0" borderId="7" xfId="0" applyNumberFormat="1" applyFont="1" applyBorder="1" applyAlignment="1">
      <alignment horizontal="center" vertical="center"/>
    </xf>
    <xf numFmtId="1" fontId="2" fillId="0" borderId="8" xfId="0" applyNumberFormat="1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1" fontId="2" fillId="0" borderId="10" xfId="0" applyNumberFormat="1" applyFont="1" applyBorder="1" applyAlignment="1">
      <alignment horizontal="center" vertical="center"/>
    </xf>
    <xf numFmtId="1" fontId="2" fillId="0" borderId="11" xfId="0" applyNumberFormat="1" applyFont="1" applyBorder="1" applyAlignment="1">
      <alignment horizontal="center" vertical="center"/>
    </xf>
    <xf numFmtId="1" fontId="2" fillId="0" borderId="12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1" fontId="2" fillId="0" borderId="6" xfId="0" applyNumberFormat="1" applyFont="1" applyBorder="1" applyAlignment="1">
      <alignment horizontal="left" vertical="center"/>
    </xf>
    <xf numFmtId="1" fontId="2" fillId="0" borderId="0" xfId="0" applyNumberFormat="1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3"/>
  <sheetViews>
    <sheetView tabSelected="1" view="pageBreakPreview" zoomScale="55" zoomScaleNormal="100" workbookViewId="0">
      <selection activeCell="K9" sqref="K9"/>
    </sheetView>
  </sheetViews>
  <sheetFormatPr defaultRowHeight="12.75" x14ac:dyDescent="0.2"/>
  <cols>
    <col min="1" max="1" width="12.28515625" customWidth="1"/>
    <col min="2" max="2" width="14.85546875" customWidth="1"/>
    <col min="3" max="3" width="11" customWidth="1"/>
    <col min="4" max="4" width="11.28515625" customWidth="1"/>
    <col min="5" max="5" width="13" customWidth="1"/>
    <col min="6" max="7" width="11.7109375" customWidth="1"/>
    <col min="8" max="8" width="13" customWidth="1"/>
    <col min="9" max="9" width="11.7109375" customWidth="1"/>
    <col min="10" max="10" width="12.42578125" customWidth="1"/>
    <col min="11" max="11" width="10.42578125" customWidth="1"/>
    <col min="12" max="13" width="10.140625" customWidth="1"/>
    <col min="20" max="20" width="10.42578125" customWidth="1"/>
  </cols>
  <sheetData>
    <row r="1" spans="1:20" ht="30" x14ac:dyDescent="0.4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</row>
    <row r="2" spans="1:20" ht="75.75" customHeight="1" x14ac:dyDescent="0.2"/>
    <row r="3" spans="1:20" ht="21" thickBot="1" x14ac:dyDescent="0.35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  <c r="R3" s="2"/>
      <c r="S3" s="2"/>
      <c r="T3" s="2"/>
    </row>
    <row r="4" spans="1:20" ht="24.75" customHeight="1" thickBot="1" x14ac:dyDescent="0.35">
      <c r="A4" s="3">
        <v>4</v>
      </c>
      <c r="B4" s="4" t="s">
        <v>2</v>
      </c>
      <c r="C4" s="5"/>
      <c r="D4" s="5"/>
      <c r="E4" s="5"/>
      <c r="F4" s="5"/>
      <c r="G4" s="5"/>
      <c r="H4" s="4"/>
      <c r="I4" s="4"/>
      <c r="J4" s="4"/>
      <c r="K4" s="4"/>
      <c r="L4" s="4"/>
      <c r="M4" s="4"/>
      <c r="N4" s="6"/>
      <c r="O4" s="6"/>
      <c r="P4" s="6"/>
      <c r="Q4" s="6"/>
      <c r="R4" s="6"/>
      <c r="S4" s="2"/>
      <c r="T4" s="2"/>
    </row>
    <row r="5" spans="1:20" ht="27.75" customHeight="1" thickBot="1" x14ac:dyDescent="0.35">
      <c r="A5" s="3">
        <f>AVERAGE(A23*2.2)</f>
        <v>7.0620000000000003</v>
      </c>
      <c r="B5" s="3">
        <v>4</v>
      </c>
      <c r="C5" s="5" t="s">
        <v>3</v>
      </c>
      <c r="D5" s="5"/>
      <c r="E5" s="5"/>
      <c r="F5" s="5"/>
      <c r="G5" s="5"/>
      <c r="H5" s="4"/>
      <c r="I5" s="4"/>
      <c r="J5" s="4" t="s">
        <v>4</v>
      </c>
      <c r="K5" s="4"/>
      <c r="L5" s="4"/>
      <c r="M5" s="4"/>
      <c r="N5" s="6"/>
      <c r="O5" s="6"/>
      <c r="P5" s="6"/>
      <c r="Q5" s="6"/>
      <c r="R5" s="6"/>
      <c r="S5" s="2"/>
      <c r="T5" s="2"/>
    </row>
    <row r="6" spans="1:20" ht="27.75" customHeight="1" thickBot="1" x14ac:dyDescent="0.35">
      <c r="A6" s="7">
        <v>8</v>
      </c>
      <c r="B6" s="7">
        <v>7</v>
      </c>
      <c r="C6" s="3">
        <f>AVERAGE(A23*0.8)</f>
        <v>2.5680000000000001</v>
      </c>
      <c r="D6" s="5" t="s">
        <v>5</v>
      </c>
      <c r="E6" s="5"/>
      <c r="F6" s="5"/>
      <c r="G6" s="5"/>
      <c r="H6" s="4"/>
      <c r="I6" s="4"/>
      <c r="J6" s="4"/>
      <c r="K6" s="4"/>
      <c r="L6" s="4"/>
      <c r="M6" s="4"/>
      <c r="N6" s="6"/>
      <c r="O6" s="6"/>
      <c r="P6" s="6"/>
      <c r="Q6" s="6"/>
      <c r="R6" s="6"/>
      <c r="S6" s="2"/>
      <c r="T6" s="2"/>
    </row>
    <row r="7" spans="1:20" ht="28.5" customHeight="1" thickBot="1" x14ac:dyDescent="0.35">
      <c r="A7" s="7">
        <f>AVERAGE(A23*3.5)</f>
        <v>11.234999999999999</v>
      </c>
      <c r="B7" s="8">
        <v>8</v>
      </c>
      <c r="C7" s="7">
        <f>AVERAGE(A23*1.3)</f>
        <v>4.173</v>
      </c>
      <c r="D7" s="3">
        <f>AVERAGE(A23*0.5)</f>
        <v>1.605</v>
      </c>
      <c r="E7" s="5" t="s">
        <v>6</v>
      </c>
      <c r="F7" s="5"/>
      <c r="G7" s="5"/>
      <c r="H7" s="4"/>
      <c r="I7" s="4"/>
      <c r="J7" s="4"/>
      <c r="K7" s="4"/>
      <c r="L7" s="4"/>
      <c r="M7" s="4"/>
      <c r="N7" s="6"/>
      <c r="O7" s="6"/>
      <c r="P7" s="6"/>
      <c r="Q7" s="6"/>
      <c r="R7" s="6"/>
      <c r="S7" s="2"/>
      <c r="T7" s="2"/>
    </row>
    <row r="8" spans="1:20" ht="28.5" customHeight="1" thickBot="1" x14ac:dyDescent="0.35">
      <c r="A8" s="9">
        <f>AVERAGE(A23*3.8)</f>
        <v>12.197999999999999</v>
      </c>
      <c r="B8" s="7">
        <v>9</v>
      </c>
      <c r="C8" s="7">
        <f>AVERAGE(A23*1.6)</f>
        <v>5.1360000000000001</v>
      </c>
      <c r="D8" s="7">
        <f>AVERAGE(A23*0.8)</f>
        <v>2.5680000000000001</v>
      </c>
      <c r="E8" s="7">
        <f>AVERAGE(A23*0.3)</f>
        <v>0.96299999999999997</v>
      </c>
      <c r="F8" s="5" t="s">
        <v>7</v>
      </c>
      <c r="G8" s="5"/>
      <c r="H8" s="4"/>
      <c r="I8" s="4"/>
      <c r="J8" s="4"/>
      <c r="K8" s="4"/>
      <c r="L8" s="4"/>
      <c r="M8" s="4"/>
      <c r="N8" s="6"/>
      <c r="O8" s="6"/>
      <c r="P8" s="6"/>
      <c r="Q8" s="6"/>
      <c r="R8" s="6"/>
      <c r="S8" s="2"/>
      <c r="T8" s="2"/>
    </row>
    <row r="9" spans="1:20" ht="30" customHeight="1" thickBot="1" x14ac:dyDescent="0.35">
      <c r="A9" s="8">
        <v>14</v>
      </c>
      <c r="B9" s="8">
        <v>12</v>
      </c>
      <c r="C9" s="8">
        <f>AVERAGE(A23*2.7)</f>
        <v>8.6669999999999998</v>
      </c>
      <c r="D9" s="8">
        <f>AVERAGE(A23*1.9)</f>
        <v>6.0989999999999993</v>
      </c>
      <c r="E9" s="8">
        <f>AVERAGE(A23*1.4)</f>
        <v>4.4939999999999998</v>
      </c>
      <c r="F9" s="7">
        <f>AVERAGE(A23*1.1)</f>
        <v>3.5310000000000001</v>
      </c>
      <c r="G9" s="5" t="s">
        <v>8</v>
      </c>
      <c r="H9" s="4"/>
      <c r="I9" s="4"/>
      <c r="J9" s="4"/>
      <c r="K9" s="4"/>
      <c r="L9" s="4"/>
      <c r="M9" s="4"/>
      <c r="N9" s="6"/>
      <c r="O9" s="6"/>
      <c r="P9" s="6"/>
      <c r="Q9" s="6"/>
      <c r="R9" s="6"/>
      <c r="S9" s="2"/>
      <c r="T9" s="2"/>
    </row>
    <row r="10" spans="1:20" ht="26.25" customHeight="1" thickBot="1" x14ac:dyDescent="0.35">
      <c r="A10" s="10">
        <f>AVERAGE(A23*7.5)</f>
        <v>24.074999999999999</v>
      </c>
      <c r="B10" s="10">
        <f>AVERAGE(A23*6.9)</f>
        <v>22.149000000000001</v>
      </c>
      <c r="C10" s="10">
        <f>AVERAGE(A23*5.3)</f>
        <v>17.012999999999998</v>
      </c>
      <c r="D10" s="10">
        <f>AVERAGE(A23*4.5)</f>
        <v>14.445</v>
      </c>
      <c r="E10" s="10">
        <f>AVERAGE(A23*4)</f>
        <v>12.84</v>
      </c>
      <c r="F10" s="10">
        <v>4</v>
      </c>
      <c r="G10" s="10">
        <f>AVERAGE(A23*2.6)</f>
        <v>8.3460000000000001</v>
      </c>
      <c r="H10" s="4" t="s">
        <v>9</v>
      </c>
      <c r="I10" s="4"/>
      <c r="J10" s="4"/>
      <c r="K10" s="4"/>
      <c r="L10" s="4"/>
      <c r="M10" s="4"/>
      <c r="N10" s="6"/>
      <c r="O10" s="6"/>
      <c r="P10" s="6"/>
      <c r="Q10" s="6"/>
      <c r="R10" s="6"/>
      <c r="S10" s="2"/>
      <c r="T10" s="2"/>
    </row>
    <row r="11" spans="1:20" ht="27.75" customHeight="1" thickBot="1" x14ac:dyDescent="0.35">
      <c r="A11" s="13">
        <f>AVERAGE(A23*16.8)</f>
        <v>53.928000000000004</v>
      </c>
      <c r="B11" s="13">
        <f>AVERAGE(A23*16.2)</f>
        <v>52.001999999999995</v>
      </c>
      <c r="C11" s="13">
        <f>AVERAGE(A23*14.6)</f>
        <v>46.866</v>
      </c>
      <c r="D11" s="13">
        <f>AVERAGE(A23*13.8)</f>
        <v>44.298000000000002</v>
      </c>
      <c r="E11" s="13">
        <f>AVERAGE(A23*13.3)</f>
        <v>42.693000000000005</v>
      </c>
      <c r="F11" s="13">
        <f>AVERAGE(A23*13)</f>
        <v>41.73</v>
      </c>
      <c r="G11" s="13">
        <f>AVERAGE(A23*11.9)</f>
        <v>38.198999999999998</v>
      </c>
      <c r="H11" s="12">
        <f>AVERAGE(A23*9.3)</f>
        <v>29.853000000000002</v>
      </c>
      <c r="I11" s="4" t="s">
        <v>10</v>
      </c>
      <c r="J11" s="4"/>
      <c r="K11" s="4"/>
      <c r="L11" s="4"/>
      <c r="M11" s="4"/>
      <c r="N11" s="6"/>
      <c r="O11" s="6"/>
      <c r="P11" s="6"/>
      <c r="Q11" s="6"/>
      <c r="R11" s="6"/>
      <c r="S11" s="2"/>
      <c r="T11" s="2"/>
    </row>
    <row r="12" spans="1:20" ht="27.75" customHeight="1" thickBot="1" x14ac:dyDescent="0.35">
      <c r="A12" s="10">
        <f>AVERAGE(A23*21.9)</f>
        <v>70.298999999999992</v>
      </c>
      <c r="B12" s="10">
        <f>AVERAGE(A23*21.3)</f>
        <v>68.373000000000005</v>
      </c>
      <c r="C12" s="10">
        <f>AVERAGE(A23*19.7)</f>
        <v>63.236999999999995</v>
      </c>
      <c r="D12" s="10">
        <f>AVERAGE(A23*18.9)</f>
        <v>60.668999999999997</v>
      </c>
      <c r="E12" s="10">
        <f>AVERAGE(A23*18.4)</f>
        <v>59.063999999999993</v>
      </c>
      <c r="F12" s="10">
        <f>AVERAGE(A23*18.1)</f>
        <v>58.101000000000006</v>
      </c>
      <c r="G12" s="10">
        <f>AVERAGE(A23*17)</f>
        <v>54.57</v>
      </c>
      <c r="H12" s="10">
        <f>AVERAGE(A23*14.4)</f>
        <v>46.224000000000004</v>
      </c>
      <c r="I12" s="10">
        <f>AVERAGE(A23*5.1)</f>
        <v>16.370999999999999</v>
      </c>
      <c r="J12" s="4" t="s">
        <v>11</v>
      </c>
      <c r="K12" s="4"/>
      <c r="L12" s="4"/>
      <c r="M12" s="4"/>
      <c r="N12" s="6"/>
      <c r="O12" s="6"/>
      <c r="P12" s="6"/>
      <c r="Q12" s="6"/>
      <c r="R12" s="6"/>
      <c r="S12" s="2"/>
      <c r="T12" s="2"/>
    </row>
    <row r="13" spans="1:20" ht="27.75" customHeight="1" thickBot="1" x14ac:dyDescent="0.25">
      <c r="A13" s="14">
        <f>AVERAGE(A23*23.3)</f>
        <v>74.793000000000006</v>
      </c>
      <c r="B13" s="14">
        <f>AVERAGE(A23*22.7)</f>
        <v>72.86699999999999</v>
      </c>
      <c r="C13" s="14">
        <f>AVERAGE(A23*21.1)</f>
        <v>67.731000000000009</v>
      </c>
      <c r="D13" s="14">
        <f>AVERAGE(A23*20.3)</f>
        <v>65.162999999999997</v>
      </c>
      <c r="E13" s="14">
        <f>AVERAGE(A23*19.8)</f>
        <v>63.558</v>
      </c>
      <c r="F13" s="14">
        <f>AVERAGE(A23*19.5)</f>
        <v>62.594999999999999</v>
      </c>
      <c r="G13" s="14">
        <f>AVERAGE(A23*18.4)</f>
        <v>59.063999999999993</v>
      </c>
      <c r="H13" s="10">
        <f>AVERAGE(A23*15.8)</f>
        <v>50.718000000000004</v>
      </c>
      <c r="I13" s="14">
        <f>AVERAGE(A23*6.5)</f>
        <v>20.864999999999998</v>
      </c>
      <c r="J13" s="12">
        <f>AVERAGE(A23*1.4)</f>
        <v>4.4939999999999998</v>
      </c>
      <c r="K13" s="23" t="s">
        <v>12</v>
      </c>
      <c r="L13" s="24"/>
      <c r="M13" s="24"/>
      <c r="N13" s="4"/>
      <c r="O13" s="4"/>
      <c r="P13" s="4"/>
      <c r="Q13" s="4"/>
      <c r="R13" s="4"/>
      <c r="S13" s="1"/>
      <c r="T13" s="1"/>
    </row>
    <row r="14" spans="1:20" ht="24" customHeight="1" thickBot="1" x14ac:dyDescent="0.25">
      <c r="A14" s="13">
        <f>AVERAGE(A23*28.8)</f>
        <v>92.448000000000008</v>
      </c>
      <c r="B14" s="12">
        <f>AVERAGE(A23*28.2)</f>
        <v>90.521999999999991</v>
      </c>
      <c r="C14" s="15">
        <f>AVERAGE(A23*26.6)</f>
        <v>85.38600000000001</v>
      </c>
      <c r="D14" s="12">
        <f>AVERAGE(A23*25.8)</f>
        <v>82.817999999999998</v>
      </c>
      <c r="E14" s="15">
        <f>AVERAGE(A23*25.3)</f>
        <v>81.213000000000008</v>
      </c>
      <c r="F14" s="12">
        <f>AVERAGE(A23*25)</f>
        <v>80.25</v>
      </c>
      <c r="G14" s="15">
        <f>AVERAGE(A23*23.9)</f>
        <v>76.718999999999994</v>
      </c>
      <c r="H14" s="13">
        <f>AVERAGE(A23*21.3)</f>
        <v>68.373000000000005</v>
      </c>
      <c r="I14" s="12">
        <f>AVERAGE(A23*12)</f>
        <v>38.519999999999996</v>
      </c>
      <c r="J14" s="12">
        <f>AVERAGE(A23*6.9)</f>
        <v>22.149000000000001</v>
      </c>
      <c r="K14" s="12">
        <f>AVERAGE(A23*5.5)</f>
        <v>17.655000000000001</v>
      </c>
      <c r="L14" s="4" t="s">
        <v>13</v>
      </c>
      <c r="M14" s="4"/>
      <c r="N14" s="4"/>
      <c r="O14" s="4"/>
      <c r="P14" s="4"/>
      <c r="Q14" s="4"/>
      <c r="R14" s="4"/>
      <c r="S14" s="1"/>
      <c r="T14" s="1"/>
    </row>
    <row r="15" spans="1:20" ht="24" customHeight="1" thickBot="1" x14ac:dyDescent="0.25">
      <c r="A15" s="10">
        <f>AVERAGE(A23*31)</f>
        <v>99.51</v>
      </c>
      <c r="B15" s="10">
        <f>AVERAGE(A23*30.4)</f>
        <v>97.583999999999989</v>
      </c>
      <c r="C15" s="16">
        <f>AVERAGE(A23*28.8)</f>
        <v>92.448000000000008</v>
      </c>
      <c r="D15" s="10">
        <f>AVERAGE(A23*28)</f>
        <v>89.88</v>
      </c>
      <c r="E15" s="16">
        <f>AVERAGE(A23*27.5)</f>
        <v>88.275000000000006</v>
      </c>
      <c r="F15" s="10">
        <f>AVERAGE(A23*27.2)</f>
        <v>87.311999999999998</v>
      </c>
      <c r="G15" s="16">
        <f>AVERAGE(A23*26.1)</f>
        <v>83.781000000000006</v>
      </c>
      <c r="H15" s="10">
        <f>AVERAGE(A23*23.5)</f>
        <v>75.435000000000002</v>
      </c>
      <c r="I15" s="10">
        <f>AVERAGE(A23*14.2)</f>
        <v>45.582000000000001</v>
      </c>
      <c r="J15" s="10">
        <f>AVERAGE(A23*9.1)</f>
        <v>29.210999999999999</v>
      </c>
      <c r="K15" s="10">
        <f>AVERAGE(A23*7.7)</f>
        <v>24.716999999999999</v>
      </c>
      <c r="L15" s="17">
        <f>AVERAGE(A23*2.2)</f>
        <v>7.0620000000000003</v>
      </c>
      <c r="M15" s="4" t="s">
        <v>14</v>
      </c>
      <c r="N15" s="4"/>
      <c r="O15" s="4"/>
      <c r="P15" s="4"/>
      <c r="Q15" s="4"/>
      <c r="R15" s="4"/>
      <c r="S15" s="1"/>
      <c r="T15" s="1"/>
    </row>
    <row r="16" spans="1:20" ht="24" customHeight="1" thickBot="1" x14ac:dyDescent="0.25">
      <c r="A16" s="13">
        <f>AVERAGE(A23*38.8)</f>
        <v>124.54799999999999</v>
      </c>
      <c r="B16" s="13">
        <f>AVERAGE(A23*38.2)</f>
        <v>122.62200000000001</v>
      </c>
      <c r="C16" s="15">
        <f>AVERAGE(A23*36.6)</f>
        <v>117.486</v>
      </c>
      <c r="D16" s="13">
        <f>AVERAGE(A23*35.8)</f>
        <v>114.91799999999999</v>
      </c>
      <c r="E16" s="15">
        <f>AVERAGE(A23*35.3)</f>
        <v>113.31299999999999</v>
      </c>
      <c r="F16" s="13">
        <f>AVERAGE(A23*35)</f>
        <v>112.35</v>
      </c>
      <c r="G16" s="15">
        <f>AVERAGE(A23*33.9)</f>
        <v>108.81899999999999</v>
      </c>
      <c r="H16" s="13">
        <f>AVERAGE(A23*31.3)</f>
        <v>100.473</v>
      </c>
      <c r="I16" s="13">
        <f>AVERAGE(A23*22)</f>
        <v>70.62</v>
      </c>
      <c r="J16" s="13">
        <f>AVERAGE(A23*16.9)</f>
        <v>54.248999999999995</v>
      </c>
      <c r="K16" s="13">
        <f>AVERAGE(A23*15.5)</f>
        <v>49.755000000000003</v>
      </c>
      <c r="L16" s="18">
        <f>AVERAGE(A23*10)</f>
        <v>32.1</v>
      </c>
      <c r="M16" s="19">
        <f>AVERAGE(A23*7.8)</f>
        <v>25.038</v>
      </c>
      <c r="N16" s="4" t="s">
        <v>15</v>
      </c>
      <c r="O16" s="4"/>
      <c r="P16" s="4"/>
      <c r="Q16" s="4"/>
      <c r="R16" s="4"/>
      <c r="S16" s="1"/>
      <c r="T16" s="1"/>
    </row>
    <row r="17" spans="1:20" ht="25.5" customHeight="1" thickBot="1" x14ac:dyDescent="0.25">
      <c r="A17" s="10">
        <f>AVERAGE(A23*42)</f>
        <v>134.82</v>
      </c>
      <c r="B17" s="10">
        <f>AVERAGE(A23*41.4)</f>
        <v>132.89400000000001</v>
      </c>
      <c r="C17" s="16">
        <f>AVERAGE(A23*39.8)</f>
        <v>127.758</v>
      </c>
      <c r="D17" s="10">
        <f>AVERAGE(A23*39)</f>
        <v>125.19</v>
      </c>
      <c r="E17" s="16">
        <f>AVERAGE(A23*38.5)</f>
        <v>123.58499999999999</v>
      </c>
      <c r="F17" s="10">
        <f>AVERAGE(A23*38.2)</f>
        <v>122.62200000000001</v>
      </c>
      <c r="G17" s="16">
        <f>AVERAGE(A23*37.1)</f>
        <v>119.09100000000001</v>
      </c>
      <c r="H17" s="10">
        <f>AVERAGE(A23*34.5)</f>
        <v>110.745</v>
      </c>
      <c r="I17" s="10">
        <f>AVERAGE(A23*25.2)</f>
        <v>80.891999999999996</v>
      </c>
      <c r="J17" s="10">
        <f>AVERAGE(A23*20.1)</f>
        <v>64.521000000000001</v>
      </c>
      <c r="K17" s="10">
        <f>AVERAGE(A23*18.7)</f>
        <v>60.026999999999994</v>
      </c>
      <c r="L17" s="11">
        <f>AVERAGE(A23*13.2)</f>
        <v>42.372</v>
      </c>
      <c r="M17" s="11">
        <f>AVERAGE(A23*11)</f>
        <v>35.31</v>
      </c>
      <c r="N17" s="11">
        <f>AVERAGE(A23*3.2)</f>
        <v>10.272</v>
      </c>
      <c r="O17" s="4" t="s">
        <v>16</v>
      </c>
      <c r="P17" s="4"/>
      <c r="Q17" s="4"/>
      <c r="R17" s="4"/>
      <c r="S17" s="1"/>
      <c r="T17" s="1"/>
    </row>
    <row r="18" spans="1:20" ht="24" customHeight="1" thickBot="1" x14ac:dyDescent="0.25">
      <c r="A18" s="13">
        <f>AVERAGE(A23*42.8)</f>
        <v>137.38799999999998</v>
      </c>
      <c r="B18" s="13">
        <f>AVERAGE(A23*42.2)</f>
        <v>135.46200000000002</v>
      </c>
      <c r="C18" s="15">
        <f>AVERAGE(A23*40.6)</f>
        <v>130.32599999999999</v>
      </c>
      <c r="D18" s="13">
        <f>AVERAGE(A23*39.8)</f>
        <v>127.758</v>
      </c>
      <c r="E18" s="15">
        <f>AVERAGE(A23*39.3)</f>
        <v>126.15299999999999</v>
      </c>
      <c r="F18" s="13">
        <f>AVERAGE(A23*39)</f>
        <v>125.19</v>
      </c>
      <c r="G18" s="15">
        <f>AVERAGE(A23*37.9)</f>
        <v>121.65899999999999</v>
      </c>
      <c r="H18" s="13">
        <f>AVERAGE(A23*35.3)</f>
        <v>113.31299999999999</v>
      </c>
      <c r="I18" s="13">
        <f>AVERAGE(A23*26)</f>
        <v>83.46</v>
      </c>
      <c r="J18" s="13">
        <f>AVERAGE(A23*20.9)</f>
        <v>67.088999999999999</v>
      </c>
      <c r="K18" s="13">
        <f>AVERAGE(A23*19.5)</f>
        <v>62.594999999999999</v>
      </c>
      <c r="L18" s="18">
        <f>AVERAGE(A23*14)</f>
        <v>44.94</v>
      </c>
      <c r="M18" s="18">
        <f>AVERAGE(A23*11.8)</f>
        <v>37.878</v>
      </c>
      <c r="N18" s="15">
        <f>AVERAGE(A23*4)</f>
        <v>12.84</v>
      </c>
      <c r="O18" s="12">
        <f>AVERAGE(A23*0.8)</f>
        <v>2.5680000000000001</v>
      </c>
      <c r="P18" s="4" t="s">
        <v>17</v>
      </c>
      <c r="Q18" s="4"/>
      <c r="R18" s="4"/>
      <c r="S18" s="1"/>
      <c r="T18" s="1"/>
    </row>
    <row r="19" spans="1:20" ht="22.5" customHeight="1" thickBot="1" x14ac:dyDescent="0.25">
      <c r="A19" s="10">
        <f>AVERAGE(A23*44.7)</f>
        <v>143.48699999999999</v>
      </c>
      <c r="B19" s="10">
        <f>AVERAGE(A23*44.1)</f>
        <v>141.56100000000001</v>
      </c>
      <c r="C19" s="16">
        <f>AVERAGE(A23*42.5)</f>
        <v>136.42500000000001</v>
      </c>
      <c r="D19" s="10">
        <f>AVERAGE(A23*41.7)</f>
        <v>133.857</v>
      </c>
      <c r="E19" s="16">
        <f>AVERAGE(A23*41.2)</f>
        <v>132.25200000000001</v>
      </c>
      <c r="F19" s="10">
        <f>AVERAGE(A23*40.9)</f>
        <v>131.28899999999999</v>
      </c>
      <c r="G19" s="16">
        <f>AVERAGE(A23*39.8)</f>
        <v>127.758</v>
      </c>
      <c r="H19" s="10">
        <f>AVERAGE(A23*37.2)</f>
        <v>119.41200000000001</v>
      </c>
      <c r="I19" s="10">
        <f>AVERAGE(A23*27.9)</f>
        <v>89.558999999999997</v>
      </c>
      <c r="J19" s="10">
        <f>AVERAGE(A23*22.8)</f>
        <v>73.188000000000002</v>
      </c>
      <c r="K19" s="10">
        <f>AVERAGE(A23*21.4)</f>
        <v>68.693999999999988</v>
      </c>
      <c r="L19" s="11">
        <f>AVERAGE(A23*15.9)</f>
        <v>51.039000000000001</v>
      </c>
      <c r="M19" s="11">
        <f>AVERAGE(A23*13.7)</f>
        <v>43.976999999999997</v>
      </c>
      <c r="N19" s="20">
        <f>AVERAGE(A23*5.9)</f>
        <v>18.939</v>
      </c>
      <c r="O19" s="10">
        <f>AVERAGE(A23*2.7)</f>
        <v>8.6669999999999998</v>
      </c>
      <c r="P19" s="11">
        <f>AVERAGE(A23*1.9)</f>
        <v>6.0989999999999993</v>
      </c>
      <c r="Q19" s="4" t="s">
        <v>18</v>
      </c>
      <c r="R19" s="4"/>
      <c r="S19" s="1"/>
      <c r="T19" s="1"/>
    </row>
    <row r="20" spans="1:20" ht="25.5" customHeight="1" thickBot="1" x14ac:dyDescent="0.25">
      <c r="A20" s="13">
        <f>AVERAGE(A23*46.2)</f>
        <v>148.30200000000002</v>
      </c>
      <c r="B20" s="13">
        <f>AVERAGE(A23*45.6)</f>
        <v>146.376</v>
      </c>
      <c r="C20" s="15">
        <f>AVERAGE(A23*44)</f>
        <v>141.24</v>
      </c>
      <c r="D20" s="13">
        <f>AVERAGE(A23*43.2)</f>
        <v>138.672</v>
      </c>
      <c r="E20" s="15">
        <f>AVERAGE(A23*42.7)</f>
        <v>137.06700000000001</v>
      </c>
      <c r="F20" s="13">
        <f>AVERAGE(A23*42.4)</f>
        <v>136.10399999999998</v>
      </c>
      <c r="G20" s="15">
        <f>AVERAGE(A23*41.3)</f>
        <v>132.57299999999998</v>
      </c>
      <c r="H20" s="10">
        <f>AVERAGE(A23*38.7)</f>
        <v>124.227</v>
      </c>
      <c r="I20" s="10">
        <f>AVERAGE(A23*29.4)</f>
        <v>94.373999999999995</v>
      </c>
      <c r="J20" s="10">
        <f>AVERAGE(A23*24.3)</f>
        <v>78.003</v>
      </c>
      <c r="K20" s="10">
        <f>AVERAGE(A23*22.9)</f>
        <v>73.509</v>
      </c>
      <c r="L20" s="11">
        <f>AVERAGE(A23*17.4)</f>
        <v>55.853999999999992</v>
      </c>
      <c r="M20" s="11">
        <f>AVERAGE(A23*15.2)</f>
        <v>48.791999999999994</v>
      </c>
      <c r="N20" s="15">
        <f>AVERAGE(A23*7.4)</f>
        <v>23.754000000000001</v>
      </c>
      <c r="O20" s="13">
        <f>AVERAGE(A23*4.2)</f>
        <v>13.482000000000001</v>
      </c>
      <c r="P20" s="15">
        <f>AVERAGE(A23*3.4)</f>
        <v>10.914</v>
      </c>
      <c r="Q20" s="12">
        <f>AVERAGE(A23*1.5)</f>
        <v>4.8149999999999995</v>
      </c>
      <c r="R20" s="4" t="s">
        <v>19</v>
      </c>
      <c r="S20" s="1"/>
      <c r="T20" s="1"/>
    </row>
    <row r="21" spans="1:20" ht="28.5" customHeight="1" thickBot="1" x14ac:dyDescent="0.25">
      <c r="A21" s="10">
        <f>AVERAGE(A23*55.7)</f>
        <v>178.797</v>
      </c>
      <c r="B21" s="10">
        <f>AVERAGE(A23*55.1)</f>
        <v>176.87100000000001</v>
      </c>
      <c r="C21" s="16">
        <f>AVERAGE(A23*53.5)</f>
        <v>171.73499999999999</v>
      </c>
      <c r="D21" s="10">
        <f>AVERAGE(A23*52.7)</f>
        <v>169.167</v>
      </c>
      <c r="E21" s="16">
        <f>AVERAGE(A23*52.2)</f>
        <v>167.56200000000001</v>
      </c>
      <c r="F21" s="10">
        <f>AVERAGE(A23*51.9)</f>
        <v>166.59899999999999</v>
      </c>
      <c r="G21" s="16">
        <f>AVERAGE(A23*50.8)</f>
        <v>163.06799999999998</v>
      </c>
      <c r="H21" s="14">
        <f>AVERAGE(A23*48.2)</f>
        <v>154.72200000000001</v>
      </c>
      <c r="I21" s="14">
        <f>AVERAGE(A23*38.9)</f>
        <v>124.869</v>
      </c>
      <c r="J21" s="14">
        <f>AVERAGE(A23*33.8)</f>
        <v>108.49799999999999</v>
      </c>
      <c r="K21" s="14">
        <f>AVERAGE(A23*32.4)</f>
        <v>104.00399999999999</v>
      </c>
      <c r="L21" s="21">
        <f>AVERAGE(A23*26.9)</f>
        <v>86.34899999999999</v>
      </c>
      <c r="M21" s="21">
        <f>AVERAGE(A23*24.7)</f>
        <v>79.286999999999992</v>
      </c>
      <c r="N21" s="20">
        <f>AVERAGE(A23*16.9)</f>
        <v>54.248999999999995</v>
      </c>
      <c r="O21" s="10">
        <f>AVERAGE(A23*13.7)</f>
        <v>43.976999999999997</v>
      </c>
      <c r="P21" s="16">
        <f>AVERAGE(A23*12.9)</f>
        <v>41.408999999999999</v>
      </c>
      <c r="Q21" s="10">
        <f>AVERAGE(A23*11)</f>
        <v>35.31</v>
      </c>
      <c r="R21" s="11">
        <f>AVERAGE(A23*9.5)</f>
        <v>30.495000000000001</v>
      </c>
      <c r="S21" s="1" t="s">
        <v>20</v>
      </c>
      <c r="T21" s="1"/>
    </row>
    <row r="23" spans="1:20" x14ac:dyDescent="0.2">
      <c r="A23">
        <v>3.21</v>
      </c>
    </row>
  </sheetData>
  <mergeCells count="2">
    <mergeCell ref="A1:T1"/>
    <mergeCell ref="K13:M13"/>
  </mergeCells>
  <pageMargins left="0.39370078740157483" right="0.39370078740157483" top="0.39370078740157483" bottom="0.39370078740157483" header="0.51181102362204722" footer="0.51181102362204722"/>
  <pageSetup paperSize="9" scale="6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ТРОИЦКОЕ</vt:lpstr>
      <vt:lpstr>ТРОИЦКОЕ!Область_печати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comp26032018</dc:creator>
  <cp:lastModifiedBy>Nik</cp:lastModifiedBy>
  <cp:lastPrinted>2024-12-26T10:20:39Z</cp:lastPrinted>
  <dcterms:created xsi:type="dcterms:W3CDTF">2024-12-23T12:40:17Z</dcterms:created>
  <dcterms:modified xsi:type="dcterms:W3CDTF">2024-12-26T10:23:17Z</dcterms:modified>
</cp:coreProperties>
</file>